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migaa\Desktop\Desktop folders\Websites for ROGs\"/>
    </mc:Choice>
  </mc:AlternateContent>
  <bookViews>
    <workbookView xWindow="0" yWindow="0" windowWidth="28800" windowHeight="12435" activeTab="2"/>
  </bookViews>
  <sheets>
    <sheet name="SCB control-squash" sheetId="1" r:id="rId1"/>
    <sheet name="CDM control Zonix" sheetId="4" r:id="rId2"/>
    <sheet name="Cucumber - HT vs field" sheetId="3" r:id="rId3"/>
  </sheets>
  <definedNames>
    <definedName name="_xlnm.Print_Area" localSheetId="2">'Cucumber - HT vs field'!$A$1:$N$20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J29" i="3"/>
  <c r="J21" i="3"/>
  <c r="J17" i="3"/>
  <c r="J18" i="3"/>
  <c r="J19" i="3"/>
  <c r="J20" i="3"/>
  <c r="J22" i="3"/>
  <c r="D6" i="3"/>
  <c r="E6" i="3"/>
  <c r="E7" i="3"/>
  <c r="D9" i="3"/>
  <c r="E9" i="3"/>
  <c r="C10" i="3"/>
  <c r="E10" i="3"/>
  <c r="D12" i="3"/>
  <c r="E12" i="3"/>
  <c r="D13" i="3"/>
  <c r="E13" i="3"/>
  <c r="E19" i="3"/>
  <c r="E20" i="3"/>
  <c r="E17" i="3"/>
  <c r="E21" i="3"/>
  <c r="E24" i="3"/>
  <c r="E25" i="3"/>
  <c r="E26" i="3"/>
  <c r="E27" i="3"/>
  <c r="E28" i="3"/>
  <c r="E29" i="3"/>
  <c r="E30" i="3"/>
  <c r="E31" i="3"/>
  <c r="J24" i="3"/>
  <c r="J30" i="3"/>
  <c r="J31" i="3"/>
  <c r="E15" i="3"/>
  <c r="D7" i="3"/>
  <c r="G18" i="4"/>
  <c r="C15" i="4"/>
  <c r="C14" i="4"/>
  <c r="G19" i="4"/>
  <c r="K15" i="4"/>
  <c r="K19" i="4"/>
  <c r="K18" i="4"/>
  <c r="K17" i="4"/>
  <c r="K16" i="4"/>
  <c r="C28" i="1"/>
  <c r="K29" i="1"/>
  <c r="C18" i="1"/>
  <c r="C19" i="1"/>
  <c r="K17" i="1"/>
  <c r="C27" i="1"/>
  <c r="G30" i="1"/>
  <c r="G19" i="1"/>
  <c r="K15" i="1"/>
  <c r="K19" i="1"/>
  <c r="G31" i="1"/>
  <c r="K27" i="1"/>
  <c r="K31" i="1"/>
  <c r="K30" i="1"/>
  <c r="K18" i="1"/>
  <c r="K28" i="1"/>
  <c r="K16" i="1"/>
  <c r="E18" i="3"/>
</calcChain>
</file>

<file path=xl/sharedStrings.xml><?xml version="1.0" encoding="utf-8"?>
<sst xmlns="http://schemas.openxmlformats.org/spreadsheetml/2006/main" count="203" uniqueCount="147">
  <si>
    <t>42 uses</t>
  </si>
  <si>
    <t>ROW COVER COST ANALYSIS</t>
  </si>
  <si>
    <t>Assumptions</t>
  </si>
  <si>
    <t>SPRAY COST ANALYSIS</t>
  </si>
  <si>
    <t>Yield with Row Cover</t>
  </si>
  <si>
    <t>Yield without Row cover</t>
  </si>
  <si>
    <t>Yield without Spray</t>
  </si>
  <si>
    <t>Yield with Spray</t>
  </si>
  <si>
    <t>Net no spray</t>
  </si>
  <si>
    <t>Financial Analysis</t>
  </si>
  <si>
    <t>Variables (Use Your Numbers)</t>
  </si>
  <si>
    <t>Calculations</t>
  </si>
  <si>
    <t>Description</t>
  </si>
  <si>
    <t>Allocation of Crop Costs</t>
  </si>
  <si>
    <t>Variables</t>
  </si>
  <si>
    <t>$/lb</t>
  </si>
  <si>
    <t>Lbs/Bed</t>
  </si>
  <si>
    <t>Prep and Mixing</t>
  </si>
  <si>
    <t>Cleanup</t>
  </si>
  <si>
    <t>Get materials ready</t>
  </si>
  <si>
    <t>Materials for all beds</t>
  </si>
  <si>
    <t>Labor for all beds</t>
  </si>
  <si>
    <t>Application/bed</t>
  </si>
  <si>
    <t>Replacement interval in years</t>
  </si>
  <si>
    <t xml:space="preserve">Door material </t>
  </si>
  <si>
    <t>Door</t>
  </si>
  <si>
    <t>Total Cost Over Life of High Tunnel</t>
  </si>
  <si>
    <t>Plastic HT cover</t>
  </si>
  <si>
    <t>Annual Cost of High Tunnel</t>
  </si>
  <si>
    <t>Days spent growing cucumbers</t>
  </si>
  <si>
    <t>Cost all beds</t>
  </si>
  <si>
    <t>Production Variables &amp; Supplies</t>
  </si>
  <si>
    <t>Total Costs</t>
  </si>
  <si>
    <t xml:space="preserve">Total </t>
  </si>
  <si>
    <t>Trellis Supplies and Seed Cost</t>
  </si>
  <si>
    <t>Net HT</t>
  </si>
  <si>
    <t>Net no HT</t>
  </si>
  <si>
    <t>Cost of HT Allocated to Cucumbers</t>
  </si>
  <si>
    <t>Tying cross brace rope (min)</t>
  </si>
  <si>
    <t>Life of HT steel in years</t>
  </si>
  <si>
    <t>Days spent growing other crops</t>
  </si>
  <si>
    <t>High Tunnel Cost</t>
  </si>
  <si>
    <t>Description of Materials, and Variables</t>
  </si>
  <si>
    <t># Beds per tunnel</t>
  </si>
  <si>
    <t>In-row spacing (ft)</t>
  </si>
  <si>
    <t>End of crop cleanup (hrs)</t>
  </si>
  <si>
    <t>Distance between hoops (ft)</t>
  </si>
  <si>
    <t>Length of each bed (ft)</t>
  </si>
  <si>
    <t>HT frame kit cost</t>
  </si>
  <si>
    <t>Row length (ft)</t>
  </si>
  <si>
    <t>Life of Sprayer (Years)</t>
  </si>
  <si>
    <t>Length of roll (ft)</t>
  </si>
  <si>
    <t>Replacement interval ends (years)</t>
  </si>
  <si>
    <t>Surround Insecticide</t>
  </si>
  <si>
    <t>Surround unit size  (lbs)</t>
  </si>
  <si>
    <t># of Beds summer squash</t>
  </si>
  <si>
    <t xml:space="preserve">Lbs per same area as HT </t>
  </si>
  <si>
    <t>Trellis cross brace rope ($/ft)</t>
  </si>
  <si>
    <t>Trellis end support anchors ($ ea)</t>
  </si>
  <si>
    <t>Trellis wire - horizontal ($/ft)</t>
  </si>
  <si>
    <t>Trellis string - vertical ($/100 ft)</t>
  </si>
  <si>
    <t>Your cost</t>
  </si>
  <si>
    <t>Seed ($ ea)</t>
  </si>
  <si>
    <t>Horizontal trellis wire and supports</t>
  </si>
  <si>
    <t>Tunnel width at trellis top (ft)</t>
  </si>
  <si>
    <t>Your time</t>
  </si>
  <si>
    <t>person minutes</t>
  </si>
  <si>
    <t>Cost of hoops ($ each)</t>
  </si>
  <si>
    <t>Longevity of hoops (uses)</t>
  </si>
  <si>
    <t>Cost of row cover ($)</t>
  </si>
  <si>
    <t>Longevity of cover (uses)</t>
  </si>
  <si>
    <t>Farm Size (acres)</t>
  </si>
  <si>
    <t>Fuel Etc ($)</t>
  </si>
  <si>
    <t>Market Price</t>
  </si>
  <si>
    <t>Materials</t>
  </si>
  <si>
    <t>Materials &amp; Equipment</t>
  </si>
  <si>
    <t>Total Cost Materials and Labor</t>
  </si>
  <si>
    <t>Net no row cover</t>
  </si>
  <si>
    <t>Net with Row Cover</t>
  </si>
  <si>
    <t>Net with spray</t>
  </si>
  <si>
    <t>Materials Cost / Bed</t>
  </si>
  <si>
    <t>Labor Cost / Bed</t>
  </si>
  <si>
    <t>PPE ($)</t>
  </si>
  <si>
    <t>Sprayer ($)</t>
  </si>
  <si>
    <t>Labor / Bed</t>
  </si>
  <si>
    <t>weekly sprays for 6 weeks per label</t>
  </si>
  <si>
    <t>Pay rate ($/Hr)</t>
  </si>
  <si>
    <t>Yield increase / bed to pay for row cover (lbs)</t>
  </si>
  <si>
    <t>Yield increase / bed to pay for spray (lbs)</t>
  </si>
  <si>
    <t>Time spent (hrs)</t>
  </si>
  <si>
    <t>Labor Cost / Bed / spray</t>
  </si>
  <si>
    <t>Materials &amp; Equip. Cost / Bed / spray</t>
  </si>
  <si>
    <t>Weeks SCB pressure</t>
  </si>
  <si>
    <t>Description of Materials, Equipment, and Variables</t>
  </si>
  <si>
    <t>Weeks SCB during harvest</t>
  </si>
  <si>
    <t>Set hoops / bed</t>
  </si>
  <si>
    <t>Unroll cover / bed</t>
  </si>
  <si>
    <t>Shovel dirt / bed</t>
  </si>
  <si>
    <t>Uncover / bed</t>
  </si>
  <si>
    <t>Reroll and store / bed</t>
  </si>
  <si>
    <t>Collecting hoops / bed</t>
  </si>
  <si>
    <t>Labor all beds for crop cycle</t>
  </si>
  <si>
    <t>Materials &amp; Equip. Cost all Beds for crop cycle</t>
  </si>
  <si>
    <t>Trellis posts per bed (#)</t>
  </si>
  <si>
    <t>Market Price ($/lb)</t>
  </si>
  <si>
    <t>Yield HT (lb)</t>
  </si>
  <si>
    <t>Yield Field (lb)</t>
  </si>
  <si>
    <t>Time Spent (hr)</t>
  </si>
  <si>
    <t>Labor: 2 people at 50 hrs ea (hrs)</t>
  </si>
  <si>
    <t>Total Labor</t>
  </si>
  <si>
    <t># of Beds cucumber</t>
  </si>
  <si>
    <t>Weeks CDM pressure</t>
  </si>
  <si>
    <t>Zonix fungicide</t>
  </si>
  <si>
    <t>Zonix unit size  (oz)</t>
  </si>
  <si>
    <t>COST ANALYSIS ZONIX VS NO TREATMENT (CUCUMBER)</t>
  </si>
  <si>
    <t>Construction of HT</t>
  </si>
  <si>
    <t>Trellis end supports (assuming 30 year life) ($ ea)</t>
  </si>
  <si>
    <t>Posts for trellis support ($ ea)</t>
  </si>
  <si>
    <t>Ex: Agribon 19 83" 1000ft</t>
  </si>
  <si>
    <t>Ex: Nolts 7 gauge $0.46ea. In row every 10ft</t>
  </si>
  <si>
    <t>KEY</t>
  </si>
  <si>
    <t>COST ANALYSIS: ROW COVER VS NO TREATMENT &amp; SURROUND VS NO TREATMENT (SUMMER SQUASH )</t>
  </si>
  <si>
    <t>COST ANALYSIS: HIGH TUNNEL VS FIELD PRODUCTION (CUCUMBER)</t>
  </si>
  <si>
    <t>Washing residue off produce at harvest/bed</t>
  </si>
  <si>
    <t>ex. Stihl SR 450 backpack sprayer</t>
  </si>
  <si>
    <t>Ex. Stihl SR 450 Backpack Sprayer</t>
  </si>
  <si>
    <t>Label indicates spraying at 5 day intervals, we've rounded to weekly at high rate of 500ppm.</t>
  </si>
  <si>
    <t>20 acres in total production</t>
  </si>
  <si>
    <t>Ex: 108661 Farmtek</t>
  </si>
  <si>
    <t>Labor (hrs)</t>
  </si>
  <si>
    <t>Ex: 108657 Farmtek</t>
  </si>
  <si>
    <t>Ex. Farmtek 108189HFRU</t>
  </si>
  <si>
    <t>Trimming &amp; training (seconds/plant/week)</t>
  </si>
  <si>
    <t>Dropping trellis twine (seconds/plant)</t>
  </si>
  <si>
    <t>Starting plants on strings (seconds/plant)</t>
  </si>
  <si>
    <t>Labor rate ($/hr)</t>
  </si>
  <si>
    <t>Materials + labor for one season</t>
  </si>
  <si>
    <t>Number of times material needs to be purchased over life of HT steel</t>
  </si>
  <si>
    <t>Misc maintenance on HT  2%</t>
  </si>
  <si>
    <t>Trellis height (string/plant)  (ft)</t>
  </si>
  <si>
    <t>Labor Costs</t>
  </si>
  <si>
    <t>Lbs per HT</t>
  </si>
  <si>
    <t>Cost of sandbags ($ each)</t>
  </si>
  <si>
    <t>Longevity of sandbags (uses)</t>
  </si>
  <si>
    <t>Ex: woven polypropylene 14" x 26" bags</t>
  </si>
  <si>
    <t>5 seasons</t>
  </si>
  <si>
    <t>Variables (Use your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</si>
</sst>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4FA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3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0" borderId="0" xfId="0" applyFont="1"/>
    <xf numFmtId="0" fontId="0" fillId="0" borderId="0" xfId="0" applyFill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4" borderId="0" xfId="0" applyFill="1"/>
    <xf numFmtId="164" fontId="0" fillId="4" borderId="1" xfId="0" applyNumberFormat="1" applyFill="1" applyBorder="1" applyAlignment="1">
      <alignment horizontal="center"/>
    </xf>
    <xf numFmtId="0" fontId="2" fillId="0" borderId="1" xfId="0" applyFont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8" xfId="0" applyBorder="1"/>
    <xf numFmtId="164" fontId="0" fillId="4" borderId="8" xfId="0" applyNumberFormat="1" applyFill="1" applyBorder="1" applyAlignment="1">
      <alignment horizontal="center"/>
    </xf>
    <xf numFmtId="0" fontId="0" fillId="0" borderId="9" xfId="0" applyBorder="1"/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0" fillId="2" borderId="13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0" fontId="0" fillId="0" borderId="5" xfId="0" applyFill="1" applyBorder="1"/>
    <xf numFmtId="0" fontId="0" fillId="0" borderId="16" xfId="0" applyBorder="1"/>
    <xf numFmtId="164" fontId="0" fillId="4" borderId="12" xfId="0" applyNumberFormat="1" applyFill="1" applyBorder="1"/>
    <xf numFmtId="164" fontId="0" fillId="0" borderId="18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164" fontId="0" fillId="4" borderId="18" xfId="0" applyNumberFormat="1" applyFill="1" applyBorder="1"/>
    <xf numFmtId="0" fontId="0" fillId="2" borderId="1" xfId="0" applyFont="1" applyFill="1" applyBorder="1"/>
    <xf numFmtId="0" fontId="0" fillId="3" borderId="0" xfId="0" applyFill="1"/>
    <xf numFmtId="0" fontId="6" fillId="0" borderId="1" xfId="0" applyFont="1" applyBorder="1"/>
    <xf numFmtId="0" fontId="0" fillId="0" borderId="18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0" xfId="0" applyFont="1" applyFill="1"/>
    <xf numFmtId="0" fontId="0" fillId="0" borderId="0" xfId="0" applyFont="1" applyFill="1"/>
    <xf numFmtId="0" fontId="0" fillId="2" borderId="0" xfId="0" applyFont="1" applyFill="1"/>
    <xf numFmtId="6" fontId="0" fillId="3" borderId="1" xfId="0" applyNumberFormat="1" applyFont="1" applyFill="1" applyBorder="1" applyAlignment="1">
      <alignment horizontal="center"/>
    </xf>
    <xf numFmtId="0" fontId="0" fillId="4" borderId="0" xfId="0" applyFont="1" applyFill="1"/>
    <xf numFmtId="0" fontId="0" fillId="0" borderId="0" xfId="0" applyFont="1" applyFill="1" applyBorder="1"/>
    <xf numFmtId="0" fontId="8" fillId="0" borderId="10" xfId="0" applyFont="1" applyBorder="1"/>
    <xf numFmtId="0" fontId="0" fillId="0" borderId="11" xfId="0" applyFont="1" applyBorder="1"/>
    <xf numFmtId="0" fontId="0" fillId="0" borderId="3" xfId="0" applyFont="1" applyBorder="1"/>
    <xf numFmtId="0" fontId="6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0" fillId="0" borderId="4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8" fontId="0" fillId="4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8" fontId="0" fillId="4" borderId="8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/>
    <xf numFmtId="0" fontId="8" fillId="0" borderId="31" xfId="0" applyFont="1" applyBorder="1"/>
    <xf numFmtId="0" fontId="0" fillId="0" borderId="30" xfId="0" applyFont="1" applyBorder="1"/>
    <xf numFmtId="0" fontId="0" fillId="0" borderId="2" xfId="0" applyFont="1" applyBorder="1"/>
    <xf numFmtId="0" fontId="0" fillId="0" borderId="28" xfId="0" applyFont="1" applyBorder="1"/>
    <xf numFmtId="0" fontId="0" fillId="0" borderId="1" xfId="0" applyFont="1" applyBorder="1"/>
    <xf numFmtId="166" fontId="0" fillId="3" borderId="1" xfId="0" applyNumberFormat="1" applyFont="1" applyFill="1" applyBorder="1" applyAlignment="1">
      <alignment horizontal="center"/>
    </xf>
    <xf numFmtId="0" fontId="0" fillId="0" borderId="29" xfId="0" applyFont="1" applyBorder="1"/>
    <xf numFmtId="0" fontId="0" fillId="0" borderId="25" xfId="0" applyFont="1" applyBorder="1"/>
    <xf numFmtId="4" fontId="0" fillId="3" borderId="1" xfId="0" applyNumberFormat="1" applyFont="1" applyFill="1" applyBorder="1" applyAlignment="1">
      <alignment horizontal="center"/>
    </xf>
    <xf numFmtId="0" fontId="0" fillId="0" borderId="15" xfId="0" applyFont="1" applyBorder="1"/>
    <xf numFmtId="8" fontId="0" fillId="0" borderId="0" xfId="0" applyNumberFormat="1" applyFont="1" applyBorder="1"/>
    <xf numFmtId="0" fontId="0" fillId="0" borderId="24" xfId="0" applyFont="1" applyBorder="1"/>
    <xf numFmtId="0" fontId="0" fillId="0" borderId="26" xfId="0" applyFont="1" applyBorder="1"/>
    <xf numFmtId="0" fontId="0" fillId="0" borderId="9" xfId="0" applyFont="1" applyBorder="1"/>
    <xf numFmtId="0" fontId="0" fillId="0" borderId="27" xfId="0" applyFont="1" applyBorder="1"/>
    <xf numFmtId="164" fontId="0" fillId="4" borderId="8" xfId="0" applyNumberFormat="1" applyFont="1" applyFill="1" applyBorder="1" applyAlignment="1">
      <alignment horizontal="center"/>
    </xf>
    <xf numFmtId="164" fontId="0" fillId="0" borderId="23" xfId="0" applyNumberFormat="1" applyFont="1" applyBorder="1"/>
    <xf numFmtId="0" fontId="6" fillId="0" borderId="8" xfId="0" applyFont="1" applyBorder="1" applyAlignment="1">
      <alignment horizontal="right"/>
    </xf>
    <xf numFmtId="8" fontId="0" fillId="4" borderId="6" xfId="0" applyNumberFormat="1" applyFont="1" applyFill="1" applyBorder="1" applyAlignment="1">
      <alignment horizontal="right"/>
    </xf>
    <xf numFmtId="164" fontId="0" fillId="4" borderId="6" xfId="0" applyNumberFormat="1" applyFont="1" applyFill="1" applyBorder="1" applyAlignment="1">
      <alignment horizontal="right"/>
    </xf>
    <xf numFmtId="164" fontId="0" fillId="4" borderId="12" xfId="0" applyNumberFormat="1" applyFont="1" applyFill="1" applyBorder="1" applyAlignment="1">
      <alignment horizontal="right"/>
    </xf>
    <xf numFmtId="164" fontId="0" fillId="4" borderId="22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165" fontId="0" fillId="4" borderId="6" xfId="0" applyNumberFormat="1" applyFont="1" applyFill="1" applyBorder="1" applyAlignment="1">
      <alignment horizontal="right"/>
    </xf>
    <xf numFmtId="165" fontId="0" fillId="4" borderId="22" xfId="0" applyNumberFormat="1" applyFont="1" applyFill="1" applyBorder="1" applyAlignment="1">
      <alignment horizontal="right"/>
    </xf>
    <xf numFmtId="38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8" fillId="6" borderId="2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8" xfId="0" applyFont="1" applyFill="1" applyBorder="1"/>
    <xf numFmtId="0" fontId="6" fillId="0" borderId="32" xfId="0" applyFont="1" applyBorder="1"/>
    <xf numFmtId="0" fontId="0" fillId="0" borderId="24" xfId="0" applyBorder="1"/>
    <xf numFmtId="0" fontId="0" fillId="3" borderId="28" xfId="0" applyFont="1" applyFill="1" applyBorder="1"/>
    <xf numFmtId="0" fontId="0" fillId="3" borderId="25" xfId="0" applyFill="1" applyBorder="1"/>
    <xf numFmtId="0" fontId="0" fillId="2" borderId="28" xfId="0" applyFont="1" applyFill="1" applyBorder="1"/>
    <xf numFmtId="0" fontId="0" fillId="2" borderId="25" xfId="0" applyFill="1" applyBorder="1"/>
    <xf numFmtId="0" fontId="0" fillId="4" borderId="33" xfId="0" applyFont="1" applyFill="1" applyBorder="1"/>
    <xf numFmtId="0" fontId="0" fillId="4" borderId="34" xfId="0" applyFill="1" applyBorder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0" xfId="0" applyFont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 wrapText="1"/>
    </xf>
    <xf numFmtId="0" fontId="8" fillId="6" borderId="20" xfId="0" applyFont="1" applyFill="1" applyBorder="1" applyAlignment="1">
      <alignment horizontal="center" wrapText="1"/>
    </xf>
    <xf numFmtId="0" fontId="0" fillId="0" borderId="2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6" fontId="0" fillId="0" borderId="2" xfId="0" applyNumberForma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0" fontId="0" fillId="0" borderId="0" xfId="0" applyFill="1" applyBorder="1"/>
    <xf numFmtId="0" fontId="6" fillId="0" borderId="33" xfId="0" applyFont="1" applyFill="1" applyBorder="1"/>
    <xf numFmtId="0" fontId="6" fillId="0" borderId="32" xfId="0" applyFont="1" applyFill="1" applyBorder="1"/>
    <xf numFmtId="0" fontId="0" fillId="2" borderId="36" xfId="0" applyFill="1" applyBorder="1"/>
    <xf numFmtId="0" fontId="0" fillId="3" borderId="36" xfId="0" applyFill="1" applyBorder="1"/>
    <xf numFmtId="0" fontId="0" fillId="3" borderId="24" xfId="0" applyFill="1" applyBorder="1"/>
    <xf numFmtId="0" fontId="0" fillId="0" borderId="4" xfId="0" applyFont="1" applyBorder="1"/>
    <xf numFmtId="0" fontId="6" fillId="0" borderId="4" xfId="0" applyFont="1" applyBorder="1"/>
    <xf numFmtId="0" fontId="0" fillId="2" borderId="1" xfId="0" applyFont="1" applyFill="1" applyBorder="1" applyAlignment="1">
      <alignment horizontal="left" wrapText="1"/>
    </xf>
    <xf numFmtId="0" fontId="0" fillId="0" borderId="19" xfId="0" applyFont="1" applyBorder="1"/>
    <xf numFmtId="0" fontId="1" fillId="0" borderId="35" xfId="0" applyFont="1" applyFill="1" applyBorder="1"/>
    <xf numFmtId="0" fontId="0" fillId="0" borderId="35" xfId="0" applyBorder="1"/>
    <xf numFmtId="164" fontId="0" fillId="4" borderId="35" xfId="1" applyNumberFormat="1" applyFont="1" applyFill="1" applyBorder="1" applyAlignment="1">
      <alignment horizontal="center"/>
    </xf>
    <xf numFmtId="0" fontId="6" fillId="0" borderId="37" xfId="0" applyFont="1" applyBorder="1"/>
    <xf numFmtId="0" fontId="0" fillId="0" borderId="21" xfId="0" applyBorder="1"/>
    <xf numFmtId="0" fontId="7" fillId="0" borderId="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8" xfId="0" applyFont="1" applyBorder="1"/>
    <xf numFmtId="0" fontId="0" fillId="0" borderId="39" xfId="0" applyBorder="1"/>
    <xf numFmtId="0" fontId="1" fillId="0" borderId="4" xfId="0" applyFont="1" applyBorder="1"/>
    <xf numFmtId="0" fontId="7" fillId="0" borderId="40" xfId="0" applyFont="1" applyBorder="1"/>
    <xf numFmtId="0" fontId="5" fillId="0" borderId="1" xfId="0" applyFont="1" applyFill="1" applyBorder="1" applyAlignment="1">
      <alignment wrapText="1"/>
    </xf>
    <xf numFmtId="0" fontId="0" fillId="0" borderId="40" xfId="0" applyBorder="1"/>
    <xf numFmtId="0" fontId="0" fillId="0" borderId="41" xfId="0" applyBorder="1"/>
    <xf numFmtId="0" fontId="0" fillId="0" borderId="2" xfId="0" applyBorder="1"/>
    <xf numFmtId="0" fontId="0" fillId="0" borderId="23" xfId="0" applyBorder="1"/>
    <xf numFmtId="0" fontId="8" fillId="5" borderId="1" xfId="0" applyFont="1" applyFill="1" applyBorder="1"/>
    <xf numFmtId="0" fontId="0" fillId="7" borderId="20" xfId="0" applyFill="1" applyBorder="1"/>
    <xf numFmtId="0" fontId="0" fillId="4" borderId="20" xfId="0" applyFill="1" applyBorder="1"/>
    <xf numFmtId="0" fontId="0" fillId="7" borderId="1" xfId="0" applyFill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0" fillId="5" borderId="1" xfId="0" applyFill="1" applyBorder="1"/>
    <xf numFmtId="0" fontId="6" fillId="0" borderId="13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0" xfId="0" applyNumberFormat="1" applyFont="1" applyBorder="1" applyAlignment="1">
      <alignment horizontal="left"/>
    </xf>
    <xf numFmtId="8" fontId="0" fillId="3" borderId="1" xfId="0" applyNumberForma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8" borderId="42" xfId="0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/>
    </xf>
    <xf numFmtId="164" fontId="0" fillId="8" borderId="44" xfId="0" applyNumberFormat="1" applyFont="1" applyFill="1" applyBorder="1" applyAlignment="1">
      <alignment horizontal="center"/>
    </xf>
    <xf numFmtId="0" fontId="0" fillId="8" borderId="44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3" xfId="0" applyBorder="1"/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164" fontId="0" fillId="8" borderId="44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7" fillId="3" borderId="21" xfId="0" applyFont="1" applyFill="1" applyBorder="1"/>
    <xf numFmtId="8" fontId="0" fillId="3" borderId="14" xfId="0" applyNumberFormat="1" applyFill="1" applyBorder="1" applyAlignment="1">
      <alignment horizontal="center"/>
    </xf>
    <xf numFmtId="0" fontId="6" fillId="3" borderId="1" xfId="0" applyFont="1" applyFill="1" applyBorder="1"/>
    <xf numFmtId="165" fontId="0" fillId="3" borderId="1" xfId="0" applyNumberFormat="1" applyFill="1" applyBorder="1" applyAlignment="1">
      <alignment horizontal="center"/>
    </xf>
    <xf numFmtId="0" fontId="0" fillId="0" borderId="39" xfId="0" applyFill="1" applyBorder="1"/>
    <xf numFmtId="0" fontId="0" fillId="0" borderId="35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45" xfId="0" applyFill="1" applyBorder="1"/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2" borderId="46" xfId="0" applyFill="1" applyBorder="1"/>
    <xf numFmtId="164" fontId="0" fillId="4" borderId="47" xfId="0" applyNumberFormat="1" applyFill="1" applyBorder="1" applyAlignment="1">
      <alignment horizontal="center"/>
    </xf>
    <xf numFmtId="164" fontId="0" fillId="4" borderId="48" xfId="0" applyNumberFormat="1" applyFill="1" applyBorder="1" applyAlignment="1">
      <alignment horizontal="center"/>
    </xf>
    <xf numFmtId="0" fontId="2" fillId="0" borderId="49" xfId="0" applyFont="1" applyBorder="1" applyAlignment="1">
      <alignment horizontal="right"/>
    </xf>
    <xf numFmtId="0" fontId="6" fillId="0" borderId="46" xfId="0" applyFont="1" applyBorder="1"/>
    <xf numFmtId="0" fontId="0" fillId="0" borderId="40" xfId="0" applyBorder="1" applyAlignment="1">
      <alignment horizontal="center"/>
    </xf>
    <xf numFmtId="0" fontId="0" fillId="0" borderId="28" xfId="0" applyFill="1" applyBorder="1"/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34" xfId="0" applyFont="1" applyBorder="1"/>
    <xf numFmtId="0" fontId="6" fillId="0" borderId="21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4FA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PageLayoutView="96" workbookViewId="0">
      <selection activeCell="I39" sqref="I39"/>
    </sheetView>
  </sheetViews>
  <sheetFormatPr defaultColWidth="8.85546875" defaultRowHeight="15" x14ac:dyDescent="0.25"/>
  <cols>
    <col min="1" max="1" width="2.85546875" customWidth="1"/>
    <col min="2" max="2" width="41.85546875" customWidth="1"/>
    <col min="3" max="3" width="14.28515625" customWidth="1"/>
    <col min="4" max="4" width="3.140625" customWidth="1"/>
    <col min="5" max="5" width="26.7109375" customWidth="1"/>
    <col min="6" max="6" width="39.7109375" customWidth="1"/>
    <col min="7" max="7" width="18.28515625" customWidth="1"/>
    <col min="8" max="8" width="3.140625" customWidth="1"/>
    <col min="9" max="9" width="30.5703125" customWidth="1"/>
    <col min="10" max="10" width="11.5703125" customWidth="1"/>
    <col min="11" max="11" width="11.42578125" customWidth="1"/>
  </cols>
  <sheetData>
    <row r="1" spans="1:11" s="94" customFormat="1" ht="15.75" customHeight="1" x14ac:dyDescent="0.3">
      <c r="B1" s="95" t="s">
        <v>121</v>
      </c>
      <c r="C1" s="95"/>
      <c r="D1" s="95"/>
    </row>
    <row r="2" spans="1:11" ht="8.25" customHeight="1" x14ac:dyDescent="0.25">
      <c r="H2" s="4"/>
    </row>
    <row r="3" spans="1:11" x14ac:dyDescent="0.25">
      <c r="A3" s="43"/>
      <c r="B3" s="114" t="s">
        <v>49</v>
      </c>
      <c r="C3" s="44">
        <v>250</v>
      </c>
      <c r="D3" s="43"/>
      <c r="E3" s="106" t="s">
        <v>120</v>
      </c>
      <c r="F3" s="107"/>
      <c r="G3" s="46"/>
      <c r="H3" s="46"/>
      <c r="I3" s="43"/>
      <c r="J3" s="43"/>
      <c r="K3" s="43"/>
    </row>
    <row r="4" spans="1:11" x14ac:dyDescent="0.25">
      <c r="A4" s="43"/>
      <c r="B4" s="114" t="s">
        <v>55</v>
      </c>
      <c r="C4" s="44">
        <v>3</v>
      </c>
      <c r="D4" s="43"/>
      <c r="E4" s="108" t="s">
        <v>10</v>
      </c>
      <c r="F4" s="109"/>
      <c r="G4" s="46"/>
      <c r="H4" s="46"/>
      <c r="I4" s="43"/>
      <c r="J4" s="43"/>
      <c r="K4" s="43"/>
    </row>
    <row r="5" spans="1:11" x14ac:dyDescent="0.25">
      <c r="A5" s="43"/>
      <c r="B5" s="114" t="s">
        <v>86</v>
      </c>
      <c r="C5" s="48">
        <v>15</v>
      </c>
      <c r="D5" s="43"/>
      <c r="E5" s="110" t="s">
        <v>93</v>
      </c>
      <c r="F5" s="111"/>
      <c r="G5" s="46"/>
      <c r="H5" s="46"/>
      <c r="I5" s="43"/>
      <c r="J5" s="43"/>
      <c r="K5" s="43"/>
    </row>
    <row r="6" spans="1:11" x14ac:dyDescent="0.25">
      <c r="A6" s="43"/>
      <c r="B6" s="114" t="s">
        <v>92</v>
      </c>
      <c r="C6" s="98">
        <v>3</v>
      </c>
      <c r="D6" s="43"/>
      <c r="E6" s="112" t="s">
        <v>11</v>
      </c>
      <c r="F6" s="113"/>
      <c r="G6" s="46"/>
      <c r="H6" s="46"/>
      <c r="I6" s="43"/>
      <c r="J6" s="43"/>
      <c r="K6" s="43"/>
    </row>
    <row r="7" spans="1:11" x14ac:dyDescent="0.25">
      <c r="A7" s="43"/>
      <c r="B7" s="115" t="s">
        <v>94</v>
      </c>
      <c r="C7" s="6">
        <v>2</v>
      </c>
      <c r="D7" s="43"/>
      <c r="E7" s="43"/>
      <c r="F7" s="46"/>
      <c r="G7" s="46"/>
      <c r="H7" s="46"/>
      <c r="I7" s="43"/>
      <c r="J7" s="43"/>
      <c r="K7" s="43"/>
    </row>
    <row r="8" spans="1:11" ht="6.75" customHeight="1" thickBo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5">
      <c r="A9" s="50"/>
      <c r="B9" s="51" t="s">
        <v>1</v>
      </c>
      <c r="C9" s="52"/>
      <c r="D9" s="52"/>
      <c r="E9" s="52"/>
      <c r="F9" s="52"/>
      <c r="G9" s="52"/>
      <c r="H9" s="52"/>
      <c r="I9" s="52"/>
      <c r="J9" s="52"/>
      <c r="K9" s="53"/>
    </row>
    <row r="10" spans="1:11" x14ac:dyDescent="0.25">
      <c r="A10" s="43"/>
      <c r="B10" s="54" t="s">
        <v>84</v>
      </c>
      <c r="C10" s="38" t="s">
        <v>66</v>
      </c>
      <c r="D10" s="55"/>
      <c r="E10" s="38" t="s">
        <v>74</v>
      </c>
      <c r="F10" s="163" t="s">
        <v>2</v>
      </c>
      <c r="G10" s="38" t="s">
        <v>14</v>
      </c>
      <c r="H10" s="56"/>
      <c r="I10" s="57"/>
      <c r="J10" s="57"/>
      <c r="K10" s="58"/>
    </row>
    <row r="11" spans="1:11" ht="15.75" thickBot="1" x14ac:dyDescent="0.3">
      <c r="A11" s="43"/>
      <c r="B11" s="59" t="s">
        <v>19</v>
      </c>
      <c r="C11" s="44">
        <v>20</v>
      </c>
      <c r="D11" s="55"/>
      <c r="E11" s="60" t="s">
        <v>67</v>
      </c>
      <c r="F11" s="164" t="s">
        <v>119</v>
      </c>
      <c r="G11" s="61">
        <v>0.46</v>
      </c>
      <c r="H11" s="56"/>
      <c r="I11" s="101" t="s">
        <v>9</v>
      </c>
      <c r="J11" s="50"/>
      <c r="K11" s="58"/>
    </row>
    <row r="12" spans="1:11" x14ac:dyDescent="0.25">
      <c r="A12" s="43"/>
      <c r="B12" s="59" t="s">
        <v>95</v>
      </c>
      <c r="C12" s="44">
        <v>2</v>
      </c>
      <c r="D12" s="55"/>
      <c r="E12" s="60" t="s">
        <v>68</v>
      </c>
      <c r="F12" s="164" t="s">
        <v>0</v>
      </c>
      <c r="G12" s="44">
        <v>42</v>
      </c>
      <c r="H12" s="56"/>
      <c r="I12" s="167" t="s">
        <v>5</v>
      </c>
      <c r="J12" s="171"/>
      <c r="K12" s="169" t="s">
        <v>16</v>
      </c>
    </row>
    <row r="13" spans="1:11" x14ac:dyDescent="0.25">
      <c r="A13" s="43"/>
      <c r="B13" s="59" t="s">
        <v>96</v>
      </c>
      <c r="C13" s="44">
        <v>10</v>
      </c>
      <c r="D13" s="55"/>
      <c r="E13" s="10" t="s">
        <v>142</v>
      </c>
      <c r="F13" t="s">
        <v>144</v>
      </c>
      <c r="G13" s="166">
        <v>0.33</v>
      </c>
      <c r="H13" s="56"/>
      <c r="I13" s="167" t="s">
        <v>4</v>
      </c>
      <c r="J13" s="172"/>
      <c r="K13" s="169" t="s">
        <v>16</v>
      </c>
    </row>
    <row r="14" spans="1:11" ht="15.75" thickBot="1" x14ac:dyDescent="0.3">
      <c r="A14" s="43"/>
      <c r="B14" s="59" t="s">
        <v>97</v>
      </c>
      <c r="C14" s="44">
        <v>4</v>
      </c>
      <c r="D14" s="55"/>
      <c r="E14" s="10" t="s">
        <v>143</v>
      </c>
      <c r="F14" t="s">
        <v>145</v>
      </c>
      <c r="G14" s="6">
        <v>5</v>
      </c>
      <c r="H14" s="55"/>
      <c r="I14" s="167" t="s">
        <v>73</v>
      </c>
      <c r="J14" s="173"/>
      <c r="K14" s="170" t="s">
        <v>15</v>
      </c>
    </row>
    <row r="15" spans="1:11" x14ac:dyDescent="0.25">
      <c r="A15" s="43"/>
      <c r="B15" s="59" t="s">
        <v>98</v>
      </c>
      <c r="C15" s="44">
        <v>10</v>
      </c>
      <c r="D15" s="55"/>
      <c r="E15" s="60" t="s">
        <v>69</v>
      </c>
      <c r="F15" s="164" t="s">
        <v>118</v>
      </c>
      <c r="G15" s="48">
        <v>99</v>
      </c>
      <c r="H15" s="55"/>
      <c r="I15" s="208" t="s">
        <v>76</v>
      </c>
      <c r="J15" s="209"/>
      <c r="K15" s="90">
        <f>C19+G19</f>
        <v>79.591000000000008</v>
      </c>
    </row>
    <row r="16" spans="1:11" x14ac:dyDescent="0.25">
      <c r="A16" s="43"/>
      <c r="B16" s="59" t="s">
        <v>99</v>
      </c>
      <c r="C16" s="44">
        <v>4</v>
      </c>
      <c r="D16" s="56"/>
      <c r="E16" s="60" t="s">
        <v>51</v>
      </c>
      <c r="F16" s="57"/>
      <c r="G16" s="44">
        <v>1000</v>
      </c>
      <c r="H16" s="55"/>
      <c r="I16" s="208" t="s">
        <v>87</v>
      </c>
      <c r="J16" s="210"/>
      <c r="K16" s="96" t="e">
        <f>K15/J14/C4</f>
        <v>#DIV/0!</v>
      </c>
    </row>
    <row r="17" spans="1:11" x14ac:dyDescent="0.25">
      <c r="A17" s="43"/>
      <c r="B17" s="59" t="s">
        <v>100</v>
      </c>
      <c r="C17" s="64">
        <v>5</v>
      </c>
      <c r="D17" s="56"/>
      <c r="E17" s="60" t="s">
        <v>70</v>
      </c>
      <c r="F17" s="165"/>
      <c r="G17" s="44">
        <v>2</v>
      </c>
      <c r="H17" s="55"/>
      <c r="I17" s="208" t="s">
        <v>89</v>
      </c>
      <c r="J17" s="210"/>
      <c r="K17" s="96">
        <f>C19/C5</f>
        <v>2.0833333333333335</v>
      </c>
    </row>
    <row r="18" spans="1:11" x14ac:dyDescent="0.25">
      <c r="A18" s="43"/>
      <c r="B18" s="41" t="s">
        <v>81</v>
      </c>
      <c r="C18" s="25">
        <f>((C5*C11/60)+(C5*(SUM(C12:C17)/60))*C4)/C4</f>
        <v>10.416666666666666</v>
      </c>
      <c r="D18" s="56"/>
      <c r="E18" s="62"/>
      <c r="F18" s="161" t="s">
        <v>80</v>
      </c>
      <c r="G18" s="63">
        <f>+(((C3/10+3)*G11)/G12)+(((C3/10+1)*2*G13)/G14)+(G15/G16*C3/G17)</f>
        <v>16.113666666666667</v>
      </c>
      <c r="H18" s="65"/>
      <c r="I18" s="205" t="s">
        <v>77</v>
      </c>
      <c r="J18" s="206"/>
      <c r="K18" s="91">
        <f>J12*J14*C4</f>
        <v>0</v>
      </c>
    </row>
    <row r="19" spans="1:11" ht="15.75" thickBot="1" x14ac:dyDescent="0.3">
      <c r="A19" s="43"/>
      <c r="B19" s="39" t="s">
        <v>21</v>
      </c>
      <c r="C19" s="67">
        <f>C18*C4</f>
        <v>31.25</v>
      </c>
      <c r="D19" s="68"/>
      <c r="E19" s="65"/>
      <c r="F19" s="161" t="s">
        <v>20</v>
      </c>
      <c r="G19" s="25">
        <f>G18*C4</f>
        <v>48.341000000000001</v>
      </c>
      <c r="H19" s="69"/>
      <c r="I19" s="207" t="s">
        <v>78</v>
      </c>
      <c r="J19" s="207"/>
      <c r="K19" s="92">
        <f>(J13*J14*C4)-K15</f>
        <v>-79.591000000000008</v>
      </c>
    </row>
    <row r="20" spans="1:11" ht="9" customHeight="1" thickBot="1" x14ac:dyDescent="0.3">
      <c r="A20" s="57"/>
      <c r="B20" s="66"/>
      <c r="C20" s="70"/>
      <c r="D20" s="66"/>
      <c r="E20" s="57"/>
      <c r="F20" s="57"/>
      <c r="G20" s="57"/>
      <c r="H20" s="71"/>
    </row>
    <row r="21" spans="1:11" x14ac:dyDescent="0.25">
      <c r="A21" s="57"/>
      <c r="B21" s="72" t="s">
        <v>3</v>
      </c>
      <c r="C21" s="73"/>
      <c r="D21" s="52"/>
      <c r="E21" s="73"/>
      <c r="F21" s="73"/>
      <c r="G21" s="73"/>
      <c r="H21" s="52"/>
      <c r="I21" s="52"/>
      <c r="J21" s="52"/>
      <c r="K21" s="53"/>
    </row>
    <row r="22" spans="1:11" x14ac:dyDescent="0.25">
      <c r="A22" s="43"/>
      <c r="B22" s="54" t="s">
        <v>84</v>
      </c>
      <c r="C22" s="38" t="s">
        <v>66</v>
      </c>
      <c r="D22" s="55"/>
      <c r="E22" s="42" t="s">
        <v>75</v>
      </c>
      <c r="F22" s="42" t="s">
        <v>2</v>
      </c>
      <c r="G22" s="42" t="s">
        <v>14</v>
      </c>
      <c r="H22" s="75"/>
      <c r="I22" s="57"/>
      <c r="J22" s="57"/>
      <c r="K22" s="58"/>
    </row>
    <row r="23" spans="1:11" ht="15.75" thickBot="1" x14ac:dyDescent="0.3">
      <c r="A23" s="43"/>
      <c r="B23" s="59" t="s">
        <v>17</v>
      </c>
      <c r="C23" s="44">
        <v>20</v>
      </c>
      <c r="D23" s="74"/>
      <c r="E23" s="33" t="s">
        <v>53</v>
      </c>
      <c r="F23" s="76" t="s">
        <v>85</v>
      </c>
      <c r="G23" s="61">
        <v>40</v>
      </c>
      <c r="H23" s="75"/>
      <c r="I23" s="100" t="s">
        <v>9</v>
      </c>
      <c r="J23" s="57"/>
      <c r="K23" s="78"/>
    </row>
    <row r="24" spans="1:11" x14ac:dyDescent="0.25">
      <c r="A24" s="43"/>
      <c r="B24" s="59" t="s">
        <v>22</v>
      </c>
      <c r="C24" s="44">
        <v>5</v>
      </c>
      <c r="D24" s="74"/>
      <c r="E24" s="33" t="s">
        <v>54</v>
      </c>
      <c r="F24" s="43"/>
      <c r="G24" s="77">
        <v>25</v>
      </c>
      <c r="H24" s="75"/>
      <c r="I24" s="167" t="s">
        <v>6</v>
      </c>
      <c r="J24" s="171"/>
      <c r="K24" s="169" t="s">
        <v>16</v>
      </c>
    </row>
    <row r="25" spans="1:11" x14ac:dyDescent="0.25">
      <c r="A25" s="43"/>
      <c r="B25" s="59" t="s">
        <v>18</v>
      </c>
      <c r="C25" s="44">
        <v>20</v>
      </c>
      <c r="D25" s="74"/>
      <c r="E25" s="33" t="s">
        <v>82</v>
      </c>
      <c r="F25" s="76"/>
      <c r="G25" s="61">
        <v>6</v>
      </c>
      <c r="H25" s="75"/>
      <c r="I25" s="167" t="s">
        <v>7</v>
      </c>
      <c r="J25" s="172"/>
      <c r="K25" s="169" t="s">
        <v>16</v>
      </c>
    </row>
    <row r="26" spans="1:11" ht="15.75" thickBot="1" x14ac:dyDescent="0.3">
      <c r="A26" s="43"/>
      <c r="B26" s="59" t="s">
        <v>123</v>
      </c>
      <c r="C26" s="44">
        <v>15</v>
      </c>
      <c r="D26" s="74"/>
      <c r="E26" s="33" t="s">
        <v>83</v>
      </c>
      <c r="F26" s="76" t="s">
        <v>124</v>
      </c>
      <c r="G26" s="61">
        <v>700</v>
      </c>
      <c r="H26" s="74"/>
      <c r="I26" s="167" t="s">
        <v>73</v>
      </c>
      <c r="J26" s="174"/>
      <c r="K26" s="170" t="s">
        <v>15</v>
      </c>
    </row>
    <row r="27" spans="1:11" ht="15" customHeight="1" x14ac:dyDescent="0.25">
      <c r="A27" s="43"/>
      <c r="B27" s="40" t="s">
        <v>90</v>
      </c>
      <c r="C27" s="25">
        <f>(C5*(C23+C25+C26+(C24*C4))/60)/C4</f>
        <v>5.833333333333333</v>
      </c>
      <c r="D27" s="74"/>
      <c r="E27" s="33" t="s">
        <v>50</v>
      </c>
      <c r="F27" s="43"/>
      <c r="G27" s="77">
        <v>5</v>
      </c>
      <c r="H27" s="74"/>
      <c r="I27" s="208" t="s">
        <v>76</v>
      </c>
      <c r="J27" s="209"/>
      <c r="K27" s="90">
        <f>C28+G31</f>
        <v>131.14999999999998</v>
      </c>
    </row>
    <row r="28" spans="1:11" x14ac:dyDescent="0.25">
      <c r="A28" s="43"/>
      <c r="B28" s="40" t="s">
        <v>101</v>
      </c>
      <c r="C28" s="25">
        <f>C5*((C24*C4*C6)/60+C26*C4*C7/60+(C23+C25)*C6/60)</f>
        <v>63.75</v>
      </c>
      <c r="D28" s="79"/>
      <c r="E28" s="33" t="s">
        <v>71</v>
      </c>
      <c r="F28" s="76" t="s">
        <v>127</v>
      </c>
      <c r="G28" s="80">
        <v>20</v>
      </c>
      <c r="H28" s="74"/>
      <c r="I28" s="208" t="s">
        <v>88</v>
      </c>
      <c r="J28" s="210"/>
      <c r="K28" s="96" t="e">
        <f>K27/J26/C4</f>
        <v>#DIV/0!</v>
      </c>
    </row>
    <row r="29" spans="1:11" x14ac:dyDescent="0.25">
      <c r="A29" s="43"/>
      <c r="B29" s="81"/>
      <c r="C29" s="82"/>
      <c r="D29" s="57"/>
      <c r="E29" s="33" t="s">
        <v>72</v>
      </c>
      <c r="F29" s="76"/>
      <c r="G29" s="61">
        <v>0.1</v>
      </c>
      <c r="H29" s="74"/>
      <c r="I29" s="208" t="s">
        <v>89</v>
      </c>
      <c r="J29" s="210"/>
      <c r="K29" s="97">
        <f>C28/C5</f>
        <v>4.25</v>
      </c>
    </row>
    <row r="30" spans="1:11" x14ac:dyDescent="0.25">
      <c r="A30" s="43"/>
      <c r="B30" s="81"/>
      <c r="C30" s="57"/>
      <c r="D30" s="57"/>
      <c r="E30" s="83"/>
      <c r="F30" s="37" t="s">
        <v>91</v>
      </c>
      <c r="G30" s="25">
        <f>(G23/G24*C3*2.5/43560*50)+G25+(G26/G27/G28*C3*6/43560)+G29</f>
        <v>7.488888888888888</v>
      </c>
      <c r="H30" s="74"/>
      <c r="I30" s="205" t="s">
        <v>8</v>
      </c>
      <c r="J30" s="206"/>
      <c r="K30" s="93">
        <f>J24*J26*C4</f>
        <v>0</v>
      </c>
    </row>
    <row r="31" spans="1:11" ht="15" customHeight="1" thickBot="1" x14ac:dyDescent="0.3">
      <c r="A31" s="43"/>
      <c r="B31" s="84"/>
      <c r="C31" s="85"/>
      <c r="D31" s="85"/>
      <c r="E31" s="86"/>
      <c r="F31" s="89" t="s">
        <v>102</v>
      </c>
      <c r="G31" s="87">
        <f>G30*C4*C6</f>
        <v>67.399999999999991</v>
      </c>
      <c r="H31" s="88"/>
      <c r="I31" s="203" t="s">
        <v>79</v>
      </c>
      <c r="J31" s="204"/>
      <c r="K31" s="92">
        <f>(J25*J26*C4)-K27</f>
        <v>-131.14999999999998</v>
      </c>
    </row>
  </sheetData>
  <mergeCells count="10">
    <mergeCell ref="I31:J31"/>
    <mergeCell ref="I30:J30"/>
    <mergeCell ref="I19:J19"/>
    <mergeCell ref="I18:J18"/>
    <mergeCell ref="I15:J15"/>
    <mergeCell ref="I27:J27"/>
    <mergeCell ref="I17:J17"/>
    <mergeCell ref="I29:J29"/>
    <mergeCell ref="I28:J28"/>
    <mergeCell ref="I16:J16"/>
  </mergeCells>
  <phoneticPr fontId="4" type="noConversion"/>
  <pageMargins left="0.7" right="0.7" top="0.75" bottom="0.75" header="0.3" footer="0.3"/>
  <pageSetup orientation="portrait" r:id="rId1"/>
  <headerFooter scaleWithDoc="0"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5" zoomScaleNormal="85" zoomScalePageLayoutView="96" workbookViewId="0">
      <selection activeCell="I22" sqref="I22"/>
    </sheetView>
  </sheetViews>
  <sheetFormatPr defaultColWidth="8.85546875" defaultRowHeight="15" x14ac:dyDescent="0.25"/>
  <cols>
    <col min="1" max="1" width="2.85546875" customWidth="1"/>
    <col min="2" max="2" width="30.28515625" customWidth="1"/>
    <col min="3" max="3" width="14.28515625" customWidth="1"/>
    <col min="4" max="4" width="3.140625" customWidth="1"/>
    <col min="5" max="5" width="24.5703125" customWidth="1"/>
    <col min="6" max="6" width="38.7109375" customWidth="1"/>
    <col min="7" max="7" width="18.28515625" customWidth="1"/>
    <col min="8" max="8" width="3.140625" customWidth="1"/>
    <col min="9" max="9" width="28" customWidth="1"/>
    <col min="10" max="10" width="11.5703125" customWidth="1"/>
    <col min="11" max="11" width="11.42578125" customWidth="1"/>
  </cols>
  <sheetData>
    <row r="1" spans="1:11" s="94" customFormat="1" ht="15.75" customHeight="1" x14ac:dyDescent="0.3">
      <c r="B1" s="95" t="s">
        <v>114</v>
      </c>
      <c r="C1" s="95"/>
      <c r="D1" s="95"/>
    </row>
    <row r="2" spans="1:11" ht="8.25" customHeight="1" x14ac:dyDescent="0.25">
      <c r="H2" s="4"/>
    </row>
    <row r="3" spans="1:11" x14ac:dyDescent="0.25">
      <c r="A3" s="43"/>
      <c r="B3" s="99" t="s">
        <v>49</v>
      </c>
      <c r="C3" s="44">
        <v>250</v>
      </c>
      <c r="D3" s="43"/>
      <c r="E3" s="45" t="s">
        <v>10</v>
      </c>
      <c r="F3" s="34"/>
      <c r="G3" s="46"/>
      <c r="H3" s="46"/>
      <c r="I3" s="43"/>
      <c r="J3" s="43"/>
      <c r="K3" s="43"/>
    </row>
    <row r="4" spans="1:11" x14ac:dyDescent="0.25">
      <c r="A4" s="43"/>
      <c r="B4" s="99" t="s">
        <v>110</v>
      </c>
      <c r="C4" s="44">
        <v>3</v>
      </c>
      <c r="D4" s="43"/>
      <c r="E4" s="47" t="s">
        <v>93</v>
      </c>
      <c r="F4" s="1"/>
      <c r="G4" s="46"/>
      <c r="H4" s="46"/>
      <c r="I4" s="43"/>
      <c r="J4" s="43"/>
      <c r="K4" s="43"/>
    </row>
    <row r="5" spans="1:11" x14ac:dyDescent="0.25">
      <c r="A5" s="43"/>
      <c r="B5" s="99" t="s">
        <v>86</v>
      </c>
      <c r="C5" s="48">
        <v>15</v>
      </c>
      <c r="D5" s="43"/>
      <c r="E5" s="49" t="s">
        <v>11</v>
      </c>
      <c r="F5" s="11"/>
      <c r="G5" s="46"/>
      <c r="H5" s="46"/>
      <c r="I5" s="43"/>
      <c r="J5" s="43"/>
      <c r="K5" s="43"/>
    </row>
    <row r="6" spans="1:11" x14ac:dyDescent="0.25">
      <c r="A6" s="43"/>
      <c r="B6" s="99" t="s">
        <v>111</v>
      </c>
      <c r="C6" s="98">
        <v>3</v>
      </c>
      <c r="D6" s="43"/>
      <c r="E6" s="43"/>
      <c r="F6" s="46"/>
      <c r="G6" s="46"/>
      <c r="H6" s="46"/>
      <c r="I6" s="43"/>
      <c r="J6" s="43"/>
      <c r="K6" s="43"/>
    </row>
    <row r="7" spans="1:11" ht="6.7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5.75" thickBot="1" x14ac:dyDescent="0.3">
      <c r="A8" s="50"/>
      <c r="B8" s="66"/>
      <c r="C8" s="70"/>
      <c r="D8" s="66"/>
      <c r="E8" s="57"/>
      <c r="F8" s="57"/>
      <c r="G8" s="57"/>
      <c r="H8" s="71"/>
    </row>
    <row r="9" spans="1:11" x14ac:dyDescent="0.25">
      <c r="A9" s="43"/>
      <c r="B9" s="72" t="s">
        <v>3</v>
      </c>
      <c r="C9" s="73"/>
      <c r="D9" s="52"/>
      <c r="E9" s="73"/>
      <c r="F9" s="73"/>
      <c r="G9" s="73"/>
      <c r="H9" s="52"/>
      <c r="I9" s="52"/>
      <c r="J9" s="52"/>
      <c r="K9" s="53"/>
    </row>
    <row r="10" spans="1:11" x14ac:dyDescent="0.25">
      <c r="A10" s="43"/>
      <c r="B10" s="54" t="s">
        <v>84</v>
      </c>
      <c r="C10" s="38" t="s">
        <v>66</v>
      </c>
      <c r="D10" s="55"/>
      <c r="E10" s="42" t="s">
        <v>75</v>
      </c>
      <c r="F10" s="42" t="s">
        <v>2</v>
      </c>
      <c r="G10" s="42" t="s">
        <v>14</v>
      </c>
      <c r="H10" s="75"/>
      <c r="I10" s="57"/>
      <c r="J10" s="57"/>
      <c r="K10" s="58"/>
    </row>
    <row r="11" spans="1:11" s="126" customFormat="1" ht="45.75" thickBot="1" x14ac:dyDescent="0.3">
      <c r="A11" s="116"/>
      <c r="B11" s="117" t="s">
        <v>17</v>
      </c>
      <c r="C11" s="118">
        <v>20</v>
      </c>
      <c r="D11" s="119"/>
      <c r="E11" s="120" t="s">
        <v>112</v>
      </c>
      <c r="F11" s="121" t="s">
        <v>126</v>
      </c>
      <c r="G11" s="122">
        <v>53</v>
      </c>
      <c r="H11" s="123"/>
      <c r="I11" s="124" t="s">
        <v>9</v>
      </c>
      <c r="J11" s="175"/>
      <c r="K11" s="125"/>
    </row>
    <row r="12" spans="1:11" x14ac:dyDescent="0.25">
      <c r="A12" s="43"/>
      <c r="B12" s="59" t="s">
        <v>22</v>
      </c>
      <c r="C12" s="44">
        <v>5</v>
      </c>
      <c r="D12" s="74"/>
      <c r="E12" s="33" t="s">
        <v>113</v>
      </c>
      <c r="F12" s="43"/>
      <c r="G12" s="77">
        <v>16</v>
      </c>
      <c r="H12" s="75"/>
      <c r="I12" s="167" t="s">
        <v>6</v>
      </c>
      <c r="J12" s="171"/>
      <c r="K12" s="169" t="s">
        <v>16</v>
      </c>
    </row>
    <row r="13" spans="1:11" x14ac:dyDescent="0.25">
      <c r="A13" s="43"/>
      <c r="B13" s="59" t="s">
        <v>18</v>
      </c>
      <c r="C13" s="44">
        <v>20</v>
      </c>
      <c r="D13" s="74"/>
      <c r="E13" s="33" t="s">
        <v>82</v>
      </c>
      <c r="F13" s="76"/>
      <c r="G13" s="61">
        <v>6</v>
      </c>
      <c r="H13" s="75"/>
      <c r="I13" s="167" t="s">
        <v>7</v>
      </c>
      <c r="J13" s="172"/>
      <c r="K13" s="169" t="s">
        <v>16</v>
      </c>
    </row>
    <row r="14" spans="1:11" ht="15.75" thickBot="1" x14ac:dyDescent="0.3">
      <c r="A14" s="43"/>
      <c r="B14" s="40" t="s">
        <v>90</v>
      </c>
      <c r="C14" s="25">
        <f>(C5*(C11+C13+(C12*C4))/60)/C4</f>
        <v>4.583333333333333</v>
      </c>
      <c r="D14" s="74"/>
      <c r="E14" s="33" t="s">
        <v>83</v>
      </c>
      <c r="F14" s="76" t="s">
        <v>125</v>
      </c>
      <c r="G14" s="61">
        <v>700</v>
      </c>
      <c r="H14" s="74"/>
      <c r="I14" s="167" t="s">
        <v>73</v>
      </c>
      <c r="J14" s="174"/>
      <c r="K14" s="170" t="s">
        <v>15</v>
      </c>
    </row>
    <row r="15" spans="1:11" x14ac:dyDescent="0.25">
      <c r="A15" s="43"/>
      <c r="B15" s="40" t="s">
        <v>101</v>
      </c>
      <c r="C15" s="25">
        <f>C5*((C12*C4*C6)/60+(C11+C13)*C6/60)</f>
        <v>41.25</v>
      </c>
      <c r="D15" s="74"/>
      <c r="E15" s="33" t="s">
        <v>50</v>
      </c>
      <c r="F15" s="43"/>
      <c r="G15" s="77">
        <v>5</v>
      </c>
      <c r="H15" s="74"/>
      <c r="I15" s="208" t="s">
        <v>76</v>
      </c>
      <c r="J15" s="209"/>
      <c r="K15" s="90">
        <f>C15+G19</f>
        <v>176.34111570247936</v>
      </c>
    </row>
    <row r="16" spans="1:11" x14ac:dyDescent="0.25">
      <c r="A16" s="43"/>
      <c r="B16" s="81"/>
      <c r="C16" s="82"/>
      <c r="D16" s="79"/>
      <c r="E16" s="33" t="s">
        <v>71</v>
      </c>
      <c r="F16" s="76" t="s">
        <v>127</v>
      </c>
      <c r="G16" s="80">
        <v>20</v>
      </c>
      <c r="H16" s="74"/>
      <c r="I16" s="208" t="s">
        <v>88</v>
      </c>
      <c r="J16" s="210"/>
      <c r="K16" s="96" t="e">
        <f>K15/J14/C4</f>
        <v>#DIV/0!</v>
      </c>
    </row>
    <row r="17" spans="1:11" x14ac:dyDescent="0.25">
      <c r="A17" s="43"/>
      <c r="B17" s="81"/>
      <c r="C17" s="82"/>
      <c r="D17" s="57"/>
      <c r="E17" s="33" t="s">
        <v>72</v>
      </c>
      <c r="F17" s="76"/>
      <c r="G17" s="61">
        <v>0.1</v>
      </c>
      <c r="H17" s="74"/>
      <c r="I17" s="208" t="s">
        <v>89</v>
      </c>
      <c r="J17" s="210"/>
      <c r="K17" s="97">
        <f>C15/C5</f>
        <v>2.75</v>
      </c>
    </row>
    <row r="18" spans="1:11" x14ac:dyDescent="0.25">
      <c r="A18" s="43"/>
      <c r="B18" s="81"/>
      <c r="C18" s="57"/>
      <c r="D18" s="57"/>
      <c r="E18" s="83"/>
      <c r="F18" s="37" t="s">
        <v>91</v>
      </c>
      <c r="G18" s="25">
        <f>(G11/G12*C3*6/43560*76)+G13+(G14/G15/G16*C3*6/43560)+G17</f>
        <v>15.01012396694215</v>
      </c>
      <c r="H18" s="74"/>
      <c r="I18" s="205" t="s">
        <v>8</v>
      </c>
      <c r="J18" s="206"/>
      <c r="K18" s="93">
        <f>J12*J14*C4</f>
        <v>0</v>
      </c>
    </row>
    <row r="19" spans="1:11" ht="15" customHeight="1" thickBot="1" x14ac:dyDescent="0.3">
      <c r="A19" s="57"/>
      <c r="B19" s="84"/>
      <c r="C19" s="85"/>
      <c r="D19" s="85"/>
      <c r="E19" s="86"/>
      <c r="F19" s="89" t="s">
        <v>102</v>
      </c>
      <c r="G19" s="87">
        <f>G18*C4*C6</f>
        <v>135.09111570247936</v>
      </c>
      <c r="H19" s="88"/>
      <c r="I19" s="203" t="s">
        <v>79</v>
      </c>
      <c r="J19" s="204"/>
      <c r="K19" s="92">
        <f>(J13*J14*C4)-K15</f>
        <v>-176.34111570247936</v>
      </c>
    </row>
    <row r="20" spans="1:11" x14ac:dyDescent="0.25">
      <c r="A20" s="57"/>
    </row>
    <row r="21" spans="1:11" x14ac:dyDescent="0.25">
      <c r="A21" s="43"/>
    </row>
    <row r="22" spans="1:11" x14ac:dyDescent="0.25">
      <c r="A22" s="43"/>
    </row>
    <row r="23" spans="1:11" x14ac:dyDescent="0.25">
      <c r="A23" s="43"/>
    </row>
    <row r="24" spans="1:11" x14ac:dyDescent="0.25">
      <c r="A24" s="43"/>
    </row>
    <row r="25" spans="1:11" x14ac:dyDescent="0.25">
      <c r="A25" s="43"/>
    </row>
    <row r="26" spans="1:11" ht="15" customHeight="1" x14ac:dyDescent="0.25">
      <c r="A26" s="43"/>
    </row>
    <row r="27" spans="1:11" x14ac:dyDescent="0.25">
      <c r="A27" s="43"/>
    </row>
    <row r="28" spans="1:11" x14ac:dyDescent="0.25">
      <c r="A28" s="43"/>
    </row>
    <row r="29" spans="1:11" x14ac:dyDescent="0.25">
      <c r="A29" s="43"/>
    </row>
    <row r="30" spans="1:11" ht="15" customHeight="1" x14ac:dyDescent="0.25">
      <c r="A30" s="43"/>
    </row>
  </sheetData>
  <mergeCells count="5">
    <mergeCell ref="I16:J16"/>
    <mergeCell ref="I17:J17"/>
    <mergeCell ref="I18:J18"/>
    <mergeCell ref="I19:J19"/>
    <mergeCell ref="I15:J15"/>
  </mergeCells>
  <pageMargins left="0.7" right="0.7" top="0.75" bottom="0.75" header="0.3" footer="0.3"/>
  <pageSetup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C7" sqref="C7"/>
    </sheetView>
  </sheetViews>
  <sheetFormatPr defaultColWidth="8.85546875" defaultRowHeight="15" x14ac:dyDescent="0.25"/>
  <cols>
    <col min="1" max="1" width="31.7109375" customWidth="1"/>
    <col min="2" max="2" width="69.85546875" customWidth="1"/>
    <col min="3" max="3" width="12.85546875" customWidth="1"/>
    <col min="4" max="4" width="8.28515625" customWidth="1"/>
    <col min="5" max="5" width="13.140625" customWidth="1"/>
    <col min="6" max="6" width="3" customWidth="1"/>
    <col min="7" max="7" width="17.42578125" customWidth="1"/>
    <col min="8" max="8" width="43.7109375" customWidth="1"/>
    <col min="9" max="9" width="15.140625" customWidth="1"/>
    <col min="10" max="10" width="16.42578125" customWidth="1"/>
    <col min="11" max="11" width="22.85546875" customWidth="1"/>
    <col min="13" max="13" width="9.42578125" customWidth="1"/>
    <col min="14" max="14" width="8" customWidth="1"/>
  </cols>
  <sheetData>
    <row r="1" spans="1:11" s="94" customFormat="1" ht="18.75" customHeight="1" x14ac:dyDescent="0.3">
      <c r="A1" s="95" t="s">
        <v>122</v>
      </c>
    </row>
    <row r="2" spans="1:11" x14ac:dyDescent="0.25">
      <c r="A2" s="133" t="s">
        <v>120</v>
      </c>
      <c r="B2" s="134" t="s">
        <v>42</v>
      </c>
      <c r="C2" s="135" t="s">
        <v>146</v>
      </c>
      <c r="D2" s="135"/>
      <c r="E2" s="136"/>
      <c r="F2" s="202"/>
      <c r="G2" s="4"/>
      <c r="H2" s="4"/>
      <c r="I2" s="4"/>
      <c r="J2" s="4"/>
    </row>
    <row r="3" spans="1:11" x14ac:dyDescent="0.25">
      <c r="A3" s="132"/>
      <c r="B3" s="158" t="s">
        <v>137</v>
      </c>
      <c r="C3" s="159" t="s">
        <v>11</v>
      </c>
      <c r="D3" s="159"/>
      <c r="E3" s="113"/>
      <c r="F3" s="16"/>
      <c r="G3" s="131"/>
      <c r="H3" s="131"/>
      <c r="I3" s="131"/>
      <c r="J3" s="4"/>
    </row>
    <row r="4" spans="1:11" ht="9" customHeight="1" thickBot="1" x14ac:dyDescent="0.3">
      <c r="A4" s="3"/>
      <c r="C4" s="4"/>
      <c r="G4" s="19"/>
      <c r="H4" s="19"/>
      <c r="I4" s="19"/>
      <c r="J4" s="19"/>
    </row>
    <row r="5" spans="1:11" x14ac:dyDescent="0.25">
      <c r="A5" s="150" t="s">
        <v>41</v>
      </c>
      <c r="B5" s="9" t="s">
        <v>12</v>
      </c>
      <c r="C5" s="151" t="s">
        <v>61</v>
      </c>
      <c r="D5" s="152"/>
      <c r="E5" s="153"/>
      <c r="F5" s="154"/>
      <c r="G5" s="211" t="s">
        <v>31</v>
      </c>
      <c r="H5" s="212"/>
      <c r="I5" s="35" t="s">
        <v>61</v>
      </c>
      <c r="J5" s="14"/>
    </row>
    <row r="6" spans="1:11" x14ac:dyDescent="0.25">
      <c r="A6" s="15" t="s">
        <v>48</v>
      </c>
      <c r="B6" s="1" t="s">
        <v>131</v>
      </c>
      <c r="C6" s="182">
        <v>6629</v>
      </c>
      <c r="D6" s="160">
        <f>(30-C8)/C8+1</f>
        <v>1</v>
      </c>
      <c r="E6" s="12">
        <f>D6*C6</f>
        <v>6629</v>
      </c>
      <c r="F6" s="16"/>
      <c r="G6" s="8"/>
      <c r="H6" s="10" t="s">
        <v>47</v>
      </c>
      <c r="I6" s="6">
        <v>88</v>
      </c>
      <c r="J6" s="14"/>
    </row>
    <row r="7" spans="1:11" ht="14.1" customHeight="1" x14ac:dyDescent="0.25">
      <c r="A7" s="15" t="s">
        <v>115</v>
      </c>
      <c r="B7" s="5" t="s">
        <v>108</v>
      </c>
      <c r="C7" s="183">
        <v>100</v>
      </c>
      <c r="D7" s="160">
        <f>D6</f>
        <v>1</v>
      </c>
      <c r="E7" s="12">
        <f>I14*C7</f>
        <v>1500</v>
      </c>
      <c r="F7" s="16"/>
      <c r="G7" s="8"/>
      <c r="H7" s="10" t="s">
        <v>43</v>
      </c>
      <c r="I7" s="6">
        <v>6</v>
      </c>
      <c r="J7" s="14"/>
    </row>
    <row r="8" spans="1:11" ht="17.100000000000001" customHeight="1" x14ac:dyDescent="0.25">
      <c r="A8" s="15"/>
      <c r="B8" s="20" t="s">
        <v>39</v>
      </c>
      <c r="C8" s="184">
        <v>30</v>
      </c>
      <c r="D8" s="24"/>
      <c r="E8" s="23"/>
      <c r="F8" s="16"/>
      <c r="G8" s="8"/>
      <c r="H8" s="10" t="s">
        <v>44</v>
      </c>
      <c r="I8" s="6">
        <v>1.5</v>
      </c>
      <c r="J8" s="14"/>
    </row>
    <row r="9" spans="1:11" ht="17.100000000000001" customHeight="1" x14ac:dyDescent="0.25">
      <c r="A9" s="15" t="s">
        <v>27</v>
      </c>
      <c r="B9" s="10" t="s">
        <v>128</v>
      </c>
      <c r="C9" s="182">
        <v>700</v>
      </c>
      <c r="D9" s="160">
        <f>(C8-C11)/C11</f>
        <v>9</v>
      </c>
      <c r="E9" s="12">
        <f>D9*C9</f>
        <v>6300</v>
      </c>
      <c r="F9" s="16"/>
      <c r="G9" s="8"/>
      <c r="H9" s="10" t="s">
        <v>103</v>
      </c>
      <c r="I9" s="6">
        <v>8</v>
      </c>
      <c r="J9" s="14"/>
    </row>
    <row r="10" spans="1:11" ht="15.95" customHeight="1" x14ac:dyDescent="0.25">
      <c r="A10" s="15" t="s">
        <v>27</v>
      </c>
      <c r="B10" s="33" t="s">
        <v>129</v>
      </c>
      <c r="C10" s="183">
        <f>11</f>
        <v>11</v>
      </c>
      <c r="D10" s="160">
        <v>9</v>
      </c>
      <c r="E10" s="12">
        <f>D10*C10*I14</f>
        <v>1485</v>
      </c>
      <c r="F10" s="16"/>
      <c r="G10" s="8"/>
      <c r="H10" s="10" t="s">
        <v>139</v>
      </c>
      <c r="I10" s="6">
        <v>8</v>
      </c>
      <c r="J10" s="14"/>
    </row>
    <row r="11" spans="1:11" ht="13.5" customHeight="1" x14ac:dyDescent="0.25">
      <c r="A11" s="15"/>
      <c r="B11" s="10" t="s">
        <v>23</v>
      </c>
      <c r="C11" s="6">
        <v>3</v>
      </c>
      <c r="D11" s="24"/>
      <c r="E11" s="23"/>
      <c r="F11" s="16"/>
      <c r="G11" s="8"/>
      <c r="H11" s="10" t="s">
        <v>45</v>
      </c>
      <c r="I11" s="6">
        <v>7</v>
      </c>
      <c r="J11" s="27"/>
    </row>
    <row r="12" spans="1:11" x14ac:dyDescent="0.25">
      <c r="A12" s="15" t="s">
        <v>24</v>
      </c>
      <c r="B12" s="10" t="s">
        <v>130</v>
      </c>
      <c r="C12" s="182">
        <v>120</v>
      </c>
      <c r="D12" s="160">
        <f>(C8-C14)/C14</f>
        <v>6.5</v>
      </c>
      <c r="E12" s="12">
        <f>D12*C12</f>
        <v>780</v>
      </c>
      <c r="F12" s="16"/>
      <c r="G12" s="8"/>
      <c r="H12" s="10" t="s">
        <v>64</v>
      </c>
      <c r="I12" s="6">
        <v>20</v>
      </c>
      <c r="J12" s="27"/>
    </row>
    <row r="13" spans="1:11" x14ac:dyDescent="0.25">
      <c r="A13" s="15" t="s">
        <v>25</v>
      </c>
      <c r="B13" s="33" t="s">
        <v>129</v>
      </c>
      <c r="C13" s="183">
        <v>10</v>
      </c>
      <c r="D13" s="160">
        <f>D12</f>
        <v>6.5</v>
      </c>
      <c r="E13" s="12">
        <f>D13*C13*I14</f>
        <v>975</v>
      </c>
      <c r="F13" s="16"/>
      <c r="G13" s="8"/>
      <c r="H13" s="10" t="s">
        <v>46</v>
      </c>
      <c r="I13" s="6">
        <v>6</v>
      </c>
      <c r="J13" s="14"/>
    </row>
    <row r="14" spans="1:11" x14ac:dyDescent="0.25">
      <c r="A14" s="15"/>
      <c r="B14" s="10" t="s">
        <v>52</v>
      </c>
      <c r="C14" s="6">
        <v>4</v>
      </c>
      <c r="D14" s="24"/>
      <c r="E14" s="23"/>
      <c r="F14" s="16"/>
      <c r="G14" s="13"/>
      <c r="H14" s="33" t="s">
        <v>135</v>
      </c>
      <c r="I14" s="182">
        <v>15</v>
      </c>
      <c r="J14" s="30"/>
    </row>
    <row r="15" spans="1:11" x14ac:dyDescent="0.25">
      <c r="A15" s="8"/>
      <c r="B15" s="10" t="s">
        <v>138</v>
      </c>
      <c r="C15" s="6"/>
      <c r="D15" s="24"/>
      <c r="E15" s="12">
        <f>SUM(E6:E14)*0.02</f>
        <v>353.38</v>
      </c>
      <c r="F15" s="16"/>
      <c r="I15" s="4"/>
      <c r="J15" s="201"/>
      <c r="K15" s="16"/>
    </row>
    <row r="16" spans="1:11" x14ac:dyDescent="0.25">
      <c r="A16" s="8"/>
      <c r="B16" s="21"/>
      <c r="C16" s="23"/>
      <c r="D16" s="103"/>
      <c r="E16" s="7"/>
      <c r="F16" s="16"/>
      <c r="G16" s="35" t="s">
        <v>140</v>
      </c>
      <c r="H16" s="8"/>
      <c r="I16" s="187" t="s">
        <v>65</v>
      </c>
      <c r="J16" s="38" t="s">
        <v>30</v>
      </c>
    </row>
    <row r="17" spans="1:11" x14ac:dyDescent="0.25">
      <c r="A17" s="35" t="s">
        <v>13</v>
      </c>
      <c r="B17" s="10" t="s">
        <v>29</v>
      </c>
      <c r="C17" s="6">
        <v>120</v>
      </c>
      <c r="E17" s="26">
        <f>+C17/(C17+C18)</f>
        <v>0.8</v>
      </c>
      <c r="F17" s="16"/>
      <c r="G17" s="8"/>
      <c r="H17" s="33" t="s">
        <v>132</v>
      </c>
      <c r="I17" s="188">
        <v>8</v>
      </c>
      <c r="J17" s="31">
        <f>+I17/60/60*I6/I8*I7*I14*C17/7</f>
        <v>201.14285714285717</v>
      </c>
    </row>
    <row r="18" spans="1:11" x14ac:dyDescent="0.25">
      <c r="A18" s="76"/>
      <c r="B18" s="10" t="s">
        <v>40</v>
      </c>
      <c r="C18" s="6">
        <v>30</v>
      </c>
      <c r="E18" s="26">
        <f>+C18/(C17+C18)</f>
        <v>0.2</v>
      </c>
      <c r="F18" s="16"/>
      <c r="G18" s="8"/>
      <c r="H18" s="120" t="s">
        <v>63</v>
      </c>
      <c r="I18" s="6">
        <v>1</v>
      </c>
      <c r="J18" s="31">
        <f>I18*I14*I7</f>
        <v>90</v>
      </c>
      <c r="K18" s="2"/>
    </row>
    <row r="19" spans="1:11" ht="27.75" customHeight="1" x14ac:dyDescent="0.25">
      <c r="A19" s="137"/>
      <c r="B19" s="9" t="s">
        <v>26</v>
      </c>
      <c r="C19" s="23"/>
      <c r="D19" s="8"/>
      <c r="E19" s="12">
        <f>SUM(E6:E14)</f>
        <v>17669</v>
      </c>
      <c r="F19" s="16"/>
      <c r="G19" s="8"/>
      <c r="H19" s="33" t="s">
        <v>133</v>
      </c>
      <c r="I19" s="6">
        <v>10</v>
      </c>
      <c r="J19" s="31">
        <f>I19/60/60*I6/I8*I7*I14</f>
        <v>14.666666666666664</v>
      </c>
    </row>
    <row r="20" spans="1:11" x14ac:dyDescent="0.25">
      <c r="A20" s="137"/>
      <c r="B20" s="9" t="s">
        <v>28</v>
      </c>
      <c r="C20" s="23"/>
      <c r="D20" s="8"/>
      <c r="E20" s="12">
        <f>E19/C8</f>
        <v>588.9666666666667</v>
      </c>
      <c r="F20" s="16"/>
      <c r="G20" s="8"/>
      <c r="H20" s="33" t="s">
        <v>38</v>
      </c>
      <c r="I20" s="6">
        <v>10</v>
      </c>
      <c r="J20" s="31">
        <f>I20*I13*4/100</f>
        <v>2.4</v>
      </c>
    </row>
    <row r="21" spans="1:11" ht="15.75" thickBot="1" x14ac:dyDescent="0.3">
      <c r="A21" s="140"/>
      <c r="B21" s="141" t="s">
        <v>37</v>
      </c>
      <c r="C21" s="190"/>
      <c r="D21" s="142"/>
      <c r="E21" s="143">
        <f>+E20*E17</f>
        <v>471.1733333333334</v>
      </c>
      <c r="F21" s="16"/>
      <c r="G21" s="8"/>
      <c r="H21" s="33" t="s">
        <v>134</v>
      </c>
      <c r="I21" s="6">
        <v>1</v>
      </c>
      <c r="J21" s="31">
        <f>I21*I14</f>
        <v>15</v>
      </c>
    </row>
    <row r="22" spans="1:11" ht="15.75" thickBot="1" x14ac:dyDescent="0.3">
      <c r="A22" s="148"/>
      <c r="B22" s="149"/>
      <c r="C22" s="189"/>
      <c r="D22" s="149"/>
      <c r="E22" s="149"/>
      <c r="F22" s="16"/>
      <c r="G22" s="168" t="s">
        <v>109</v>
      </c>
      <c r="H22" s="193"/>
      <c r="I22" s="194"/>
      <c r="J22" s="197">
        <f>+SUM(J17:J21)</f>
        <v>323.20952380952383</v>
      </c>
    </row>
    <row r="23" spans="1:11" x14ac:dyDescent="0.25">
      <c r="A23" s="144" t="s">
        <v>34</v>
      </c>
      <c r="B23" s="145"/>
      <c r="C23" s="185" t="s">
        <v>61</v>
      </c>
      <c r="D23" s="146"/>
      <c r="E23" s="147" t="s">
        <v>30</v>
      </c>
      <c r="F23" s="16"/>
      <c r="G23" s="199"/>
      <c r="H23" s="131"/>
      <c r="I23" s="191"/>
      <c r="J23" s="192"/>
    </row>
    <row r="24" spans="1:11" x14ac:dyDescent="0.25">
      <c r="A24" s="138"/>
      <c r="B24" s="22" t="s">
        <v>58</v>
      </c>
      <c r="C24" s="6">
        <v>18</v>
      </c>
      <c r="D24" s="127"/>
      <c r="E24" s="25">
        <f>C24*2*$I$7</f>
        <v>216</v>
      </c>
      <c r="F24" s="16"/>
      <c r="G24" s="200" t="s">
        <v>32</v>
      </c>
      <c r="H24" s="196" t="s">
        <v>136</v>
      </c>
      <c r="I24" s="195"/>
      <c r="J24" s="198">
        <f>+E21+E31+J22</f>
        <v>2238.2628571428572</v>
      </c>
    </row>
    <row r="25" spans="1:11" ht="15.75" thickBot="1" x14ac:dyDescent="0.3">
      <c r="A25" s="137"/>
      <c r="B25" s="22" t="s">
        <v>116</v>
      </c>
      <c r="C25" s="6">
        <v>77.599999999999994</v>
      </c>
      <c r="D25" s="128"/>
      <c r="E25" s="25">
        <f>C25*2*$I$7</f>
        <v>931.19999999999993</v>
      </c>
      <c r="F25" s="16"/>
      <c r="G25" s="157" t="s">
        <v>9</v>
      </c>
      <c r="H25" s="162"/>
      <c r="I25" s="177"/>
      <c r="J25" s="30"/>
    </row>
    <row r="26" spans="1:11" x14ac:dyDescent="0.25">
      <c r="A26" s="137"/>
      <c r="B26" s="22" t="s">
        <v>117</v>
      </c>
      <c r="C26" s="6">
        <v>2</v>
      </c>
      <c r="D26" s="129"/>
      <c r="E26" s="12">
        <f>((I6/12*I7)+1)*C26</f>
        <v>90</v>
      </c>
      <c r="F26" s="16"/>
      <c r="G26" s="35" t="s">
        <v>105</v>
      </c>
      <c r="H26" s="22" t="s">
        <v>141</v>
      </c>
      <c r="I26" s="179"/>
      <c r="J26" s="36"/>
    </row>
    <row r="27" spans="1:11" x14ac:dyDescent="0.25">
      <c r="A27" s="137"/>
      <c r="B27" s="22" t="s">
        <v>59</v>
      </c>
      <c r="C27" s="6">
        <v>1.7</v>
      </c>
      <c r="D27" s="128"/>
      <c r="E27" s="12">
        <f>C27*$I$7</f>
        <v>10.199999999999999</v>
      </c>
      <c r="F27" s="16"/>
      <c r="G27" s="35" t="s">
        <v>106</v>
      </c>
      <c r="H27" s="22" t="s">
        <v>56</v>
      </c>
      <c r="I27" s="180"/>
      <c r="J27" s="36"/>
    </row>
    <row r="28" spans="1:11" ht="15.75" thickBot="1" x14ac:dyDescent="0.3">
      <c r="A28" s="137"/>
      <c r="B28" s="22" t="s">
        <v>60</v>
      </c>
      <c r="C28" s="6">
        <v>0.5</v>
      </c>
      <c r="D28" s="128"/>
      <c r="E28" s="12">
        <f>C28*$I$6/$I$8*$I$10*$I$7/100</f>
        <v>14.08</v>
      </c>
      <c r="F28" s="16"/>
      <c r="G28" s="35" t="s">
        <v>104</v>
      </c>
      <c r="H28" s="176"/>
      <c r="I28" s="181"/>
      <c r="J28" s="36"/>
    </row>
    <row r="29" spans="1:11" x14ac:dyDescent="0.25">
      <c r="A29" s="137"/>
      <c r="B29" s="139" t="s">
        <v>57</v>
      </c>
      <c r="C29" s="186">
        <v>0.04</v>
      </c>
      <c r="D29" s="130"/>
      <c r="E29" s="12">
        <f>C29*$I$12*$I$9</f>
        <v>6.4</v>
      </c>
      <c r="F29" s="16"/>
      <c r="G29" s="35" t="s">
        <v>107</v>
      </c>
      <c r="H29" s="8"/>
      <c r="I29" s="178"/>
      <c r="J29" s="102">
        <f>J22/I14+100/30+C10/3+C13/4</f>
        <v>31.04730158730159</v>
      </c>
    </row>
    <row r="30" spans="1:11" x14ac:dyDescent="0.25">
      <c r="A30" s="138"/>
      <c r="B30" s="10" t="s">
        <v>62</v>
      </c>
      <c r="C30" s="186">
        <v>0.5</v>
      </c>
      <c r="D30" s="130"/>
      <c r="E30" s="25">
        <f>C30*I6*I7/I8</f>
        <v>176</v>
      </c>
      <c r="F30" s="16"/>
      <c r="G30" s="104" t="s">
        <v>35</v>
      </c>
      <c r="H30" s="8"/>
      <c r="I30" s="8"/>
      <c r="J30" s="32">
        <f>(I26*I28)-J24</f>
        <v>-2238.2628571428572</v>
      </c>
    </row>
    <row r="31" spans="1:11" ht="15.75" thickBot="1" x14ac:dyDescent="0.3">
      <c r="A31" s="39" t="s">
        <v>33</v>
      </c>
      <c r="B31" s="28"/>
      <c r="C31" s="17"/>
      <c r="D31" s="156"/>
      <c r="E31" s="18">
        <f>+SUM(E24:E30)</f>
        <v>1443.8799999999999</v>
      </c>
      <c r="F31" s="155"/>
      <c r="G31" s="105" t="s">
        <v>36</v>
      </c>
      <c r="H31" s="28"/>
      <c r="I31" s="17"/>
      <c r="J31" s="29">
        <f>I27*I28</f>
        <v>0</v>
      </c>
    </row>
    <row r="32" spans="1:11" x14ac:dyDescent="0.25">
      <c r="F32" s="4"/>
    </row>
    <row r="36" ht="17.100000000000001" customHeight="1" x14ac:dyDescent="0.25"/>
    <row r="37" ht="17.100000000000001" customHeight="1" x14ac:dyDescent="0.25"/>
    <row r="38" ht="18" customHeight="1" x14ac:dyDescent="0.25"/>
    <row r="39" ht="18.95" customHeight="1" x14ac:dyDescent="0.25"/>
  </sheetData>
  <mergeCells count="1">
    <mergeCell ref="G5:H5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SCB control-squash</vt:lpstr>
      <vt:lpstr>CDM control Zonix</vt:lpstr>
      <vt:lpstr>Cucumber - HT vs field</vt:lpstr>
      <vt:lpstr>'Cucumber - HT vs field'!Print_Area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Formiga, Alice</cp:lastModifiedBy>
  <cp:lastPrinted>2017-02-27T04:27:05Z</cp:lastPrinted>
  <dcterms:created xsi:type="dcterms:W3CDTF">2017-01-17T19:41:34Z</dcterms:created>
  <dcterms:modified xsi:type="dcterms:W3CDTF">2018-01-03T22:48:26Z</dcterms:modified>
</cp:coreProperties>
</file>